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aus\PV Anlage + Wallbox + Speicher\#Berechnungen\"/>
    </mc:Choice>
  </mc:AlternateContent>
  <bookViews>
    <workbookView xWindow="0" yWindow="0" windowWidth="32914" windowHeight="14974"/>
  </bookViews>
  <sheets>
    <sheet name="Tabelle1" sheetId="1" r:id="rId1"/>
  </sheets>
  <calcPr calcId="152511"/>
</workbook>
</file>

<file path=xl/calcChain.xml><?xml version="1.0" encoding="utf-8"?>
<calcChain xmlns="http://schemas.openxmlformats.org/spreadsheetml/2006/main">
  <c r="D15" i="1" l="1"/>
  <c r="D20" i="1" s="1"/>
  <c r="D25" i="1"/>
  <c r="D16" i="1"/>
  <c r="D17" i="1" s="1"/>
  <c r="D32" i="1" l="1"/>
  <c r="D33" i="1" s="1"/>
  <c r="D34" i="1" s="1"/>
  <c r="D23" i="1"/>
  <c r="D19" i="1"/>
  <c r="D24" i="1" s="1"/>
  <c r="D29" i="1" s="1"/>
  <c r="D30" i="1" s="1"/>
  <c r="D21" i="1" l="1"/>
  <c r="D27" i="1"/>
  <c r="D28" i="1" s="1"/>
</calcChain>
</file>

<file path=xl/sharedStrings.xml><?xml version="1.0" encoding="utf-8"?>
<sst xmlns="http://schemas.openxmlformats.org/spreadsheetml/2006/main" count="78" uniqueCount="63">
  <si>
    <t>€</t>
  </si>
  <si>
    <t>Kosten Speichersystem</t>
  </si>
  <si>
    <t>Jahre</t>
  </si>
  <si>
    <t>kWh</t>
  </si>
  <si>
    <t>Einspeisevergütung</t>
  </si>
  <si>
    <t>€/kWh</t>
  </si>
  <si>
    <t>Wirkungsgrad des Speichersystem</t>
  </si>
  <si>
    <t>Strompreissteigerung pro Jahr</t>
  </si>
  <si>
    <t>%</t>
  </si>
  <si>
    <t>Eingespeicherte Energie</t>
  </si>
  <si>
    <t>Ausgespeicherte Energie</t>
  </si>
  <si>
    <t>Nutzbare Kapazität</t>
  </si>
  <si>
    <t xml:space="preserve">Speicherverluste </t>
  </si>
  <si>
    <t>Strompreis Mittelwert</t>
  </si>
  <si>
    <t>Eingesparte Stromkosten in X Jahren</t>
  </si>
  <si>
    <t>abzgl. Einspeisevergütung</t>
  </si>
  <si>
    <t>Rendite</t>
  </si>
  <si>
    <t>Gewinn Speicher über Lebensdauer</t>
  </si>
  <si>
    <t>Kosten pro kWh Speicher</t>
  </si>
  <si>
    <t>Zyklen</t>
  </si>
  <si>
    <t>Break even kWh</t>
  </si>
  <si>
    <t>Break even Zyklen</t>
  </si>
  <si>
    <t>Eingaben</t>
  </si>
  <si>
    <t>Diese kWh muss der Speicher ausspeichern damit sich die Investition amortisiert</t>
  </si>
  <si>
    <t>Kommentare</t>
  </si>
  <si>
    <t>Kaufpreis abzüglich aller Förderungen</t>
  </si>
  <si>
    <t>erwartete Lebensdauer. Typisch: 15 Jahre</t>
  </si>
  <si>
    <t>Strompreis</t>
  </si>
  <si>
    <t>Strompreis nach X Jahren inkl. Strompreissteigerung</t>
  </si>
  <si>
    <t>Abgegebene Energie am Ende der Lebensdauer von X Zyklen</t>
  </si>
  <si>
    <t>Aufgenommene Energie am Ende der Lebensdauer von X Zyklen</t>
  </si>
  <si>
    <t>Speicher Verluste am Ende der Lebensdauer von X Zyklen</t>
  </si>
  <si>
    <t>tatsächlich nutzbare (netto) Kapazität des Speichers</t>
  </si>
  <si>
    <t>Ergebnisse</t>
  </si>
  <si>
    <t>entgangene Einspeisevergütung für die nutzbare Energie und Verluste des Speichers</t>
  </si>
  <si>
    <t>Investitionssumme</t>
  </si>
  <si>
    <t>Gewinnn / Verlust am Ende der Lebensdauer nach X Zyklen</t>
  </si>
  <si>
    <t>Rendite über gesamte Laufzeit am Ende der Lebensdauer nach X Zyklen</t>
  </si>
  <si>
    <t>Kosten pro kWh Speicherstrom am Ende der Lebensdauer nach X Zyklen</t>
  </si>
  <si>
    <t>abzgl. Kosten Speichersystem</t>
  </si>
  <si>
    <t>Strompreis Mittelwert über X Jahre</t>
  </si>
  <si>
    <t>Break even Jahre</t>
  </si>
  <si>
    <t>Durchschnittliche Anzahl Zyklen pro Jahr</t>
  </si>
  <si>
    <t>gute DC gekoppelte Systeme ca. 90%, schlechte AC gekoppelte Systeme ca 70%</t>
  </si>
  <si>
    <t>realistische Anzahl Zyklen pro Jahr ca.150-250</t>
  </si>
  <si>
    <t>langfristiges Ziel der EZB 2%, aktuell deutlich höher</t>
  </si>
  <si>
    <t>Strompreis im Jahr X</t>
  </si>
  <si>
    <t>https://sektorenkoppler.com/</t>
  </si>
  <si>
    <t>https://norden.social/@Sektorenkoppler</t>
  </si>
  <si>
    <t>aktueller Brutto Preis pro kWh Strom aus dem Netz</t>
  </si>
  <si>
    <t>2023 gibt es z.B. bis 10 kWp 8,2 Cent</t>
  </si>
  <si>
    <t>angenommene Lebensdauer</t>
  </si>
  <si>
    <t xml:space="preserve">Lebensdauer in Zyklen </t>
  </si>
  <si>
    <t>eingesparte Stromkosten durch ausgespeicherte Energie am Ende der Lebensdauer von X Zyklen</t>
  </si>
  <si>
    <t>1 Zyklus = eine volle Ladung und eine volle Entladung des Speichers.
Der Hersteller RCT gibt z.B. 5000 an</t>
  </si>
  <si>
    <t>Anzahl Jahre bis die Investition sich amortisiert</t>
  </si>
  <si>
    <t>Anzahl Zyklen bis die Investition sich amortisiert</t>
  </si>
  <si>
    <t>Ersparnis pro kWh aus dem Speicher</t>
  </si>
  <si>
    <t>Differenz zwischen Strompreis und den Kosten pro kWh aus dem Speicher</t>
  </si>
  <si>
    <t>www</t>
  </si>
  <si>
    <t>Mastodon</t>
  </si>
  <si>
    <r>
      <t xml:space="preserve">Speicher Rechner 
</t>
    </r>
    <r>
      <rPr>
        <b/>
        <sz val="14"/>
        <color theme="1"/>
        <rFont val="Liberation Sans"/>
      </rPr>
      <t>Sektorenkoppler.com</t>
    </r>
  </si>
  <si>
    <t>Stand 14.02.2023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</si>
</sst>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&quot; &quot;[$€-407];[Red]&quot;-&quot;#,##0.00&quot; &quot;[$€-407]"/>
    <numFmt numFmtId="165" formatCode="_-* #,##0.000\ &quot;€&quot;_-;\-* #,##0.000\ &quot;€&quot;_-;_-* &quot;-&quot;??\ &quot;€&quot;_-;_-@_-"/>
    <numFmt numFmtId="166" formatCode="0.0"/>
  </numFmts>
  <fonts count="11">
    <font>
      <sz val="11"/>
      <color theme="1"/>
      <name val="Liberation Sans"/>
    </font>
    <font>
      <b/>
      <i/>
      <sz val="16"/>
      <color theme="1"/>
      <name val="Liberation Sans"/>
    </font>
    <font>
      <b/>
      <i/>
      <u/>
      <sz val="11"/>
      <color theme="1"/>
      <name val="Liberation Sans"/>
    </font>
    <font>
      <b/>
      <sz val="11"/>
      <color theme="1"/>
      <name val="Liberation Sans"/>
    </font>
    <font>
      <sz val="11"/>
      <color theme="1"/>
      <name val="Liberation Sans"/>
    </font>
    <font>
      <b/>
      <sz val="14"/>
      <color theme="1"/>
      <name val="Liberation Sans"/>
    </font>
    <font>
      <b/>
      <sz val="16"/>
      <color theme="1"/>
      <name val="Liberation Sans"/>
    </font>
    <font>
      <i/>
      <sz val="11"/>
      <color theme="1"/>
      <name val="Liberation Sans"/>
    </font>
    <font>
      <b/>
      <sz val="15"/>
      <color theme="1"/>
      <name val="Liberation Sans"/>
    </font>
    <font>
      <u/>
      <sz val="11"/>
      <color theme="10"/>
      <name val="Liberation Sans"/>
    </font>
    <font>
      <b/>
      <sz val="22"/>
      <color theme="1"/>
      <name val="Liberation Sans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9" fontId="0" fillId="0" borderId="0" xfId="5" applyFont="1"/>
    <xf numFmtId="165" fontId="0" fillId="0" borderId="0" xfId="6" applyNumberFormat="1" applyFont="1"/>
    <xf numFmtId="0" fontId="0" fillId="0" borderId="2" xfId="0" applyFont="1" applyBorder="1"/>
    <xf numFmtId="0" fontId="0" fillId="0" borderId="0" xfId="0" applyFont="1" applyBorder="1"/>
    <xf numFmtId="0" fontId="0" fillId="0" borderId="0" xfId="0" applyBorder="1"/>
    <xf numFmtId="0" fontId="0" fillId="0" borderId="5" xfId="0" applyFont="1" applyBorder="1"/>
    <xf numFmtId="0" fontId="0" fillId="0" borderId="0" xfId="0" applyFill="1" applyBorder="1"/>
    <xf numFmtId="0" fontId="3" fillId="0" borderId="1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0" fillId="0" borderId="1" xfId="0" applyFont="1" applyBorder="1"/>
    <xf numFmtId="2" fontId="0" fillId="0" borderId="3" xfId="0" applyNumberFormat="1" applyFont="1" applyBorder="1"/>
    <xf numFmtId="2" fontId="0" fillId="0" borderId="3" xfId="6" applyNumberFormat="1" applyFont="1" applyBorder="1"/>
    <xf numFmtId="1" fontId="0" fillId="0" borderId="3" xfId="0" applyNumberFormat="1" applyBorder="1"/>
    <xf numFmtId="1" fontId="0" fillId="0" borderId="3" xfId="0" applyNumberFormat="1" applyFont="1" applyBorder="1"/>
    <xf numFmtId="44" fontId="0" fillId="0" borderId="3" xfId="6" applyFont="1" applyBorder="1"/>
    <xf numFmtId="0" fontId="0" fillId="0" borderId="3" xfId="0" applyFont="1" applyBorder="1"/>
    <xf numFmtId="0" fontId="8" fillId="0" borderId="3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8" xfId="0" applyFont="1" applyBorder="1"/>
    <xf numFmtId="0" fontId="0" fillId="2" borderId="1" xfId="0" applyFont="1" applyFill="1" applyBorder="1"/>
    <xf numFmtId="0" fontId="0" fillId="2" borderId="3" xfId="0" applyFont="1" applyFill="1" applyBorder="1"/>
    <xf numFmtId="9" fontId="0" fillId="2" borderId="3" xfId="5" applyFont="1" applyFill="1" applyBorder="1"/>
    <xf numFmtId="0" fontId="0" fillId="2" borderId="3" xfId="5" applyNumberFormat="1" applyFont="1" applyFill="1" applyBorder="1"/>
    <xf numFmtId="9" fontId="5" fillId="0" borderId="3" xfId="5" applyFont="1" applyFill="1" applyBorder="1"/>
    <xf numFmtId="2" fontId="5" fillId="0" borderId="3" xfId="0" applyNumberFormat="1" applyFont="1" applyFill="1" applyBorder="1"/>
    <xf numFmtId="1" fontId="5" fillId="0" borderId="3" xfId="0" applyNumberFormat="1" applyFont="1" applyFill="1" applyBorder="1"/>
    <xf numFmtId="166" fontId="5" fillId="0" borderId="4" xfId="0" applyNumberFormat="1" applyFont="1" applyFill="1" applyBorder="1"/>
    <xf numFmtId="0" fontId="6" fillId="0" borderId="6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textRotation="90"/>
    </xf>
    <xf numFmtId="0" fontId="9" fillId="0" borderId="0" xfId="7"/>
    <xf numFmtId="2" fontId="8" fillId="0" borderId="3" xfId="0" applyNumberFormat="1" applyFont="1" applyBorder="1"/>
    <xf numFmtId="0" fontId="0" fillId="0" borderId="0" xfId="0" applyFont="1" applyFill="1" applyBorder="1"/>
    <xf numFmtId="1" fontId="5" fillId="0" borderId="3" xfId="6" applyNumberFormat="1" applyFont="1" applyFill="1" applyBorder="1"/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14" fontId="3" fillId="0" borderId="0" xfId="0" applyNumberFormat="1" applyFont="1" applyFill="1" applyBorder="1" applyAlignment="1">
      <alignment vertical="top"/>
    </xf>
  </cellXfs>
  <cellStyles count="8">
    <cellStyle name="Heading" xfId="1"/>
    <cellStyle name="Heading1" xfId="2"/>
    <cellStyle name="Link" xfId="7" builtinId="8"/>
    <cellStyle name="Prozent" xfId="5" builtinId="5"/>
    <cellStyle name="Result" xfId="3"/>
    <cellStyle name="Result2" xfId="4"/>
    <cellStyle name="Standard" xfId="0" builtinId="0" customBuiltin="1"/>
    <cellStyle name="Währung" xfId="6" builtinId="4"/>
  </cellStyles>
  <dxfs count="9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orden.social/@Sektorenkoppler" TargetMode="External"/><Relationship Id="rId1" Type="http://schemas.openxmlformats.org/officeDocument/2006/relationships/hyperlink" Target="https://sektorenkoppl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tabSelected="1" zoomScale="110" zoomScaleNormal="110" workbookViewId="0">
      <selection activeCell="I24" sqref="I24"/>
    </sheetView>
  </sheetViews>
  <sheetFormatPr baseColWidth="10" defaultRowHeight="14.15"/>
  <cols>
    <col min="1" max="1" width="3" customWidth="1"/>
    <col min="3" max="3" width="37.0703125" bestFit="1" customWidth="1"/>
    <col min="4" max="4" width="17" bestFit="1" customWidth="1"/>
    <col min="5" max="5" width="6.0703125" customWidth="1"/>
    <col min="6" max="6" width="82.140625" bestFit="1" customWidth="1"/>
    <col min="12" max="12" width="17.0703125" bestFit="1" customWidth="1"/>
  </cols>
  <sheetData>
    <row r="2" spans="2:13" ht="27.45" customHeight="1">
      <c r="B2" s="43" t="s">
        <v>61</v>
      </c>
      <c r="C2" s="42"/>
      <c r="D2" s="42"/>
      <c r="E2" s="42"/>
      <c r="F2" s="42"/>
    </row>
    <row r="3" spans="2:13" ht="27.45" customHeight="1">
      <c r="B3" s="42"/>
      <c r="C3" s="42"/>
      <c r="D3" s="42"/>
      <c r="E3" s="42"/>
      <c r="F3" s="42"/>
    </row>
    <row r="4" spans="2:13">
      <c r="B4" t="s">
        <v>59</v>
      </c>
      <c r="C4" s="38" t="s">
        <v>47</v>
      </c>
    </row>
    <row r="5" spans="2:13">
      <c r="B5" t="s">
        <v>60</v>
      </c>
      <c r="C5" s="38" t="s">
        <v>48</v>
      </c>
    </row>
    <row r="6" spans="2:13" ht="14.6" thickBot="1">
      <c r="C6" s="1"/>
      <c r="D6" s="1"/>
      <c r="E6" s="1"/>
      <c r="F6" s="1" t="s">
        <v>24</v>
      </c>
    </row>
    <row r="7" spans="2:13" ht="14.15" customHeight="1">
      <c r="B7" s="33" t="s">
        <v>22</v>
      </c>
      <c r="C7" s="9" t="s">
        <v>11</v>
      </c>
      <c r="D7" s="25">
        <v>8</v>
      </c>
      <c r="E7" s="4" t="s">
        <v>3</v>
      </c>
      <c r="F7" s="20" t="s">
        <v>32</v>
      </c>
    </row>
    <row r="8" spans="2:13">
      <c r="B8" s="34"/>
      <c r="C8" s="10" t="s">
        <v>1</v>
      </c>
      <c r="D8" s="26">
        <v>5000</v>
      </c>
      <c r="E8" s="5" t="s">
        <v>0</v>
      </c>
      <c r="F8" s="21" t="s">
        <v>25</v>
      </c>
    </row>
    <row r="9" spans="2:13">
      <c r="B9" s="34"/>
      <c r="C9" s="10" t="s">
        <v>51</v>
      </c>
      <c r="D9" s="26">
        <v>15</v>
      </c>
      <c r="E9" s="5" t="s">
        <v>2</v>
      </c>
      <c r="F9" s="21" t="s">
        <v>26</v>
      </c>
      <c r="K9" s="1"/>
      <c r="L9" s="1"/>
      <c r="M9" s="1"/>
    </row>
    <row r="10" spans="2:13">
      <c r="B10" s="34"/>
      <c r="C10" s="10" t="s">
        <v>6</v>
      </c>
      <c r="D10" s="27">
        <v>0.85</v>
      </c>
      <c r="E10" s="6"/>
      <c r="F10" s="21" t="s">
        <v>43</v>
      </c>
      <c r="L10" s="3"/>
      <c r="M10" s="2"/>
    </row>
    <row r="11" spans="2:13">
      <c r="B11" s="34"/>
      <c r="C11" s="10" t="s">
        <v>42</v>
      </c>
      <c r="D11" s="26">
        <v>180</v>
      </c>
      <c r="E11" s="8" t="s">
        <v>19</v>
      </c>
      <c r="F11" s="22" t="s">
        <v>44</v>
      </c>
      <c r="L11" s="3"/>
      <c r="M11" s="2"/>
    </row>
    <row r="12" spans="2:13">
      <c r="B12" s="34"/>
      <c r="C12" s="10" t="s">
        <v>27</v>
      </c>
      <c r="D12" s="26">
        <v>0.4</v>
      </c>
      <c r="E12" s="5" t="s">
        <v>0</v>
      </c>
      <c r="F12" s="21" t="s">
        <v>49</v>
      </c>
      <c r="L12" s="3"/>
      <c r="M12" s="2"/>
    </row>
    <row r="13" spans="2:13">
      <c r="B13" s="34"/>
      <c r="C13" s="10" t="s">
        <v>7</v>
      </c>
      <c r="D13" s="28">
        <v>3.5</v>
      </c>
      <c r="E13" s="5" t="s">
        <v>8</v>
      </c>
      <c r="F13" s="21" t="s">
        <v>45</v>
      </c>
      <c r="L13" s="3"/>
      <c r="M13" s="2"/>
    </row>
    <row r="14" spans="2:13" ht="14.6" thickBot="1">
      <c r="B14" s="34"/>
      <c r="C14" s="10" t="s">
        <v>4</v>
      </c>
      <c r="D14" s="26">
        <v>8.2000000000000003E-2</v>
      </c>
      <c r="E14" s="5" t="s">
        <v>5</v>
      </c>
      <c r="F14" s="21" t="s">
        <v>50</v>
      </c>
      <c r="L14" s="3"/>
      <c r="M14" s="2"/>
    </row>
    <row r="15" spans="2:13" ht="28.3">
      <c r="B15" s="35" t="s">
        <v>33</v>
      </c>
      <c r="C15" s="9" t="s">
        <v>52</v>
      </c>
      <c r="D15" s="12">
        <f>D11*D9</f>
        <v>2700</v>
      </c>
      <c r="E15" s="4"/>
      <c r="F15" s="23" t="s">
        <v>54</v>
      </c>
      <c r="L15" s="3"/>
      <c r="M15" s="2"/>
    </row>
    <row r="16" spans="2:13" ht="14.15" customHeight="1">
      <c r="B16" s="36"/>
      <c r="C16" s="10" t="s">
        <v>46</v>
      </c>
      <c r="D16" s="13">
        <f>$D$12*(1+$D$13/100)^$D$9</f>
        <v>0.67013953230086376</v>
      </c>
      <c r="E16" s="5" t="s">
        <v>0</v>
      </c>
      <c r="F16" s="21" t="s">
        <v>28</v>
      </c>
      <c r="L16" s="3"/>
      <c r="M16" s="2"/>
    </row>
    <row r="17" spans="2:13" ht="14.15" customHeight="1">
      <c r="B17" s="36"/>
      <c r="C17" s="10" t="s">
        <v>13</v>
      </c>
      <c r="D17" s="14">
        <f>(D16+D12)/2</f>
        <v>0.53506976615043189</v>
      </c>
      <c r="E17" s="5" t="s">
        <v>0</v>
      </c>
      <c r="F17" s="21" t="s">
        <v>40</v>
      </c>
      <c r="L17" s="3"/>
      <c r="M17" s="2"/>
    </row>
    <row r="18" spans="2:13" ht="14.15" customHeight="1">
      <c r="B18" s="36"/>
      <c r="C18" s="10"/>
      <c r="D18" s="14"/>
      <c r="E18" s="5"/>
      <c r="F18" s="21"/>
      <c r="L18" s="3"/>
      <c r="M18" s="2"/>
    </row>
    <row r="19" spans="2:13">
      <c r="B19" s="36"/>
      <c r="C19" s="10" t="s">
        <v>9</v>
      </c>
      <c r="D19" s="15">
        <f>D20/D10</f>
        <v>25411.764705882353</v>
      </c>
      <c r="E19" s="5" t="s">
        <v>3</v>
      </c>
      <c r="F19" s="21" t="s">
        <v>30</v>
      </c>
      <c r="L19" s="3"/>
      <c r="M19" s="2"/>
    </row>
    <row r="20" spans="2:13">
      <c r="B20" s="36"/>
      <c r="C20" s="10" t="s">
        <v>10</v>
      </c>
      <c r="D20" s="16">
        <f>D15*D7</f>
        <v>21600</v>
      </c>
      <c r="E20" s="5" t="s">
        <v>3</v>
      </c>
      <c r="F20" s="21" t="s">
        <v>29</v>
      </c>
      <c r="L20" s="3"/>
      <c r="M20" s="2"/>
    </row>
    <row r="21" spans="2:13">
      <c r="B21" s="36"/>
      <c r="C21" s="10" t="s">
        <v>12</v>
      </c>
      <c r="D21" s="16">
        <f>D19-D20</f>
        <v>3811.7647058823532</v>
      </c>
      <c r="E21" s="5" t="s">
        <v>3</v>
      </c>
      <c r="F21" s="21" t="s">
        <v>31</v>
      </c>
      <c r="L21" s="3"/>
      <c r="M21" s="2"/>
    </row>
    <row r="22" spans="2:13">
      <c r="B22" s="36"/>
      <c r="C22" s="10"/>
      <c r="D22" s="17"/>
      <c r="E22" s="5"/>
      <c r="F22" s="21"/>
      <c r="L22" s="3"/>
      <c r="M22" s="2"/>
    </row>
    <row r="23" spans="2:13">
      <c r="B23" s="36"/>
      <c r="C23" s="10" t="s">
        <v>14</v>
      </c>
      <c r="D23" s="16">
        <f>D20*D17</f>
        <v>11557.506948849328</v>
      </c>
      <c r="E23" s="5" t="s">
        <v>0</v>
      </c>
      <c r="F23" s="21" t="s">
        <v>53</v>
      </c>
      <c r="L23" s="3"/>
      <c r="M23" s="2"/>
    </row>
    <row r="24" spans="2:13">
      <c r="B24" s="36"/>
      <c r="C24" s="10" t="s">
        <v>15</v>
      </c>
      <c r="D24" s="16">
        <f>D14*D19</f>
        <v>2083.7647058823532</v>
      </c>
      <c r="E24" s="5" t="s">
        <v>0</v>
      </c>
      <c r="F24" s="21" t="s">
        <v>34</v>
      </c>
      <c r="L24" s="3"/>
    </row>
    <row r="25" spans="2:13">
      <c r="B25" s="36"/>
      <c r="C25" s="10" t="s">
        <v>39</v>
      </c>
      <c r="D25" s="18">
        <f>D8</f>
        <v>5000</v>
      </c>
      <c r="E25" s="5" t="s">
        <v>0</v>
      </c>
      <c r="F25" s="21" t="s">
        <v>35</v>
      </c>
    </row>
    <row r="26" spans="2:13">
      <c r="B26" s="36"/>
      <c r="C26" s="10"/>
      <c r="D26" s="18"/>
      <c r="E26" s="5"/>
      <c r="F26" s="21"/>
    </row>
    <row r="27" spans="2:13" ht="17.600000000000001">
      <c r="B27" s="36"/>
      <c r="C27" s="10" t="s">
        <v>17</v>
      </c>
      <c r="D27" s="41">
        <f>D23-D24-D25</f>
        <v>4473.742242966975</v>
      </c>
      <c r="E27" s="40" t="s">
        <v>0</v>
      </c>
      <c r="F27" s="21" t="s">
        <v>36</v>
      </c>
    </row>
    <row r="28" spans="2:13" ht="17.600000000000001">
      <c r="B28" s="36"/>
      <c r="C28" s="10" t="s">
        <v>16</v>
      </c>
      <c r="D28" s="29">
        <f>D27/D8</f>
        <v>0.89474844859339497</v>
      </c>
      <c r="E28" s="5"/>
      <c r="F28" s="21" t="s">
        <v>37</v>
      </c>
    </row>
    <row r="29" spans="2:13" ht="17.600000000000001">
      <c r="B29" s="36"/>
      <c r="C29" s="10" t="s">
        <v>18</v>
      </c>
      <c r="D29" s="30">
        <f>(D24+D8)/D20</f>
        <v>0.3279520697167756</v>
      </c>
      <c r="E29" s="5" t="s">
        <v>0</v>
      </c>
      <c r="F29" s="21" t="s">
        <v>38</v>
      </c>
    </row>
    <row r="30" spans="2:13" ht="19.3">
      <c r="B30" s="36"/>
      <c r="C30" s="10" t="s">
        <v>57</v>
      </c>
      <c r="D30" s="39">
        <f>D17-D29</f>
        <v>0.2071176964336563</v>
      </c>
      <c r="E30" s="5" t="s">
        <v>0</v>
      </c>
      <c r="F30" s="21" t="s">
        <v>58</v>
      </c>
    </row>
    <row r="31" spans="2:13" ht="15" customHeight="1">
      <c r="B31" s="36"/>
      <c r="C31" s="10"/>
      <c r="D31" s="19"/>
      <c r="E31" s="5"/>
      <c r="F31" s="21"/>
    </row>
    <row r="32" spans="2:13" ht="17.600000000000001">
      <c r="B32" s="36"/>
      <c r="C32" s="10" t="s">
        <v>20</v>
      </c>
      <c r="D32" s="31">
        <f>D8/(D17-(1/D10)*D14)</f>
        <v>11399.930168057504</v>
      </c>
      <c r="E32" s="5" t="s">
        <v>3</v>
      </c>
      <c r="F32" s="21" t="s">
        <v>23</v>
      </c>
    </row>
    <row r="33" spans="2:6" ht="17.600000000000001">
      <c r="B33" s="36"/>
      <c r="C33" s="10" t="s">
        <v>21</v>
      </c>
      <c r="D33" s="31">
        <f>D32/D7</f>
        <v>1424.9912710071881</v>
      </c>
      <c r="E33" s="5" t="s">
        <v>19</v>
      </c>
      <c r="F33" s="21" t="s">
        <v>56</v>
      </c>
    </row>
    <row r="34" spans="2:6" ht="18" thickBot="1">
      <c r="B34" s="37"/>
      <c r="C34" s="11" t="s">
        <v>41</v>
      </c>
      <c r="D34" s="32">
        <f>D33/D11</f>
        <v>7.9166181722621562</v>
      </c>
      <c r="E34" s="7" t="s">
        <v>2</v>
      </c>
      <c r="F34" s="24" t="s">
        <v>55</v>
      </c>
    </row>
    <row r="37" spans="2:6">
      <c r="C37" s="44" t="s">
        <v>62</v>
      </c>
    </row>
  </sheetData>
  <mergeCells count="3">
    <mergeCell ref="B7:B14"/>
    <mergeCell ref="B15:B34"/>
    <mergeCell ref="B2:F3"/>
  </mergeCells>
  <conditionalFormatting sqref="D27:D28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29">
    <cfRule type="cellIs" dxfId="6" priority="4" operator="greaterThan">
      <formula>$D$17</formula>
    </cfRule>
    <cfRule type="cellIs" dxfId="5" priority="5" operator="lessThan">
      <formula>$D$17</formula>
    </cfRule>
    <cfRule type="cellIs" dxfId="4" priority="6" operator="lessThan">
      <formula>$D$17</formula>
    </cfRule>
    <cfRule type="cellIs" dxfId="3" priority="7" operator="greaterThan">
      <formula>$D$17</formula>
    </cfRule>
  </conditionalFormatting>
  <conditionalFormatting sqref="D28">
    <cfRule type="cellIs" dxfId="2" priority="3" operator="greaterThan">
      <formula>0</formula>
    </cfRule>
  </conditionalFormatting>
  <conditionalFormatting sqref="D34">
    <cfRule type="cellIs" dxfId="1" priority="1" operator="greaterThan">
      <formula>$D$9</formula>
    </cfRule>
    <cfRule type="cellIs" dxfId="0" priority="2" operator="lessThan">
      <formula>$D$9</formula>
    </cfRule>
  </conditionalFormatting>
  <hyperlinks>
    <hyperlink ref="C4" r:id="rId1"/>
    <hyperlink ref="C5" r:id="rId2"/>
  </hyperlinks>
  <pageMargins left="0" right="0" top="0.39370078740157477" bottom="0.39370078740157477" header="0" footer="0"/>
  <pageSetup paperSize="9" orientation="portrait" r:id="rId3"/>
  <headerFooter>
    <oddHeader>&amp;C&amp;A</oddHeader>
    <oddFooter>&amp;CSeite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D632C417A25B49975F296AEE759213" ma:contentTypeVersion="11" ma:contentTypeDescription="Create a new document." ma:contentTypeScope="" ma:versionID="3d9f65053adbe20a6b24a1ddb8494ab1">
  <xsd:schema xmlns:xsd="http://www.w3.org/2001/XMLSchema" xmlns:xs="http://www.w3.org/2001/XMLSchema" xmlns:p="http://schemas.microsoft.com/office/2006/metadata/properties" xmlns:ns3="59adbf05-1be2-4706-ace4-75fe2912e22c" targetNamespace="http://schemas.microsoft.com/office/2006/metadata/properties" ma:root="true" ma:fieldsID="d35514a062ecc8f5fce2ef01b3d51f66" ns3:_="">
    <xsd:import namespace="59adbf05-1be2-4706-ace4-75fe2912e22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adbf05-1be2-4706-ace4-75fe2912e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8F9E3C-FDB8-4A44-A5BA-8186630FA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adbf05-1be2-4706-ace4-75fe2912e2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87AFBD-FAFC-402A-8EC1-A7F5FC7A21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4DEFDC-8EC4-4986-A8CB-36AECC2F4616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59adbf05-1be2-4706-ace4-75fe2912e22c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Gagadada</dc:creator>
  <cp:lastModifiedBy>Gagadada</cp:lastModifiedBy>
  <cp:revision>3</cp:revision>
  <dcterms:created xsi:type="dcterms:W3CDTF">2022-10-29T16:01:31Z</dcterms:created>
  <dcterms:modified xsi:type="dcterms:W3CDTF">2023-02-15T06:19:18Z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0x01010015D632C417A25B49975F296AEE759213</vt:lpwstr>
  </property>
</Properties>
</file>